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aco/Desktop/"/>
    </mc:Choice>
  </mc:AlternateContent>
  <xr:revisionPtr revIDLastSave="0" documentId="13_ncr:1_{21254BD4-A8FB-D347-B5C3-1219A3E9B131}" xr6:coauthVersionLast="45" xr6:coauthVersionMax="45" xr10:uidLastSave="{00000000-0000-0000-0000-000000000000}"/>
  <bookViews>
    <workbookView xWindow="0" yWindow="460" windowWidth="27320" windowHeight="14820" activeTab="1" xr2:uid="{00000000-000D-0000-FFFF-FFFF00000000}"/>
  </bookViews>
  <sheets>
    <sheet name="AGRO3000 VENTA INTERNACIONAL" sheetId="10" r:id="rId1"/>
    <sheet name="PROTOCLO OCRA" sheetId="12" r:id="rId2"/>
    <sheet name="Hoja1" sheetId="1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6" i="12" l="1"/>
  <c r="S6" i="12"/>
  <c r="S7" i="12"/>
  <c r="S8" i="12"/>
  <c r="S9" i="12"/>
  <c r="S10" i="12"/>
  <c r="S11" i="12"/>
  <c r="S12" i="12"/>
  <c r="S13" i="12"/>
  <c r="S14" i="12"/>
  <c r="S5" i="12"/>
  <c r="Q14" i="12"/>
  <c r="Q6" i="12"/>
  <c r="Q7" i="12"/>
  <c r="Q8" i="12"/>
  <c r="Q9" i="12"/>
  <c r="Q10" i="12"/>
  <c r="Q11" i="12"/>
  <c r="Q12" i="12"/>
  <c r="Q13" i="12"/>
  <c r="Q5" i="12"/>
  <c r="E6" i="12"/>
  <c r="E7" i="12"/>
  <c r="E8" i="12"/>
  <c r="E9" i="12"/>
  <c r="E10" i="12"/>
  <c r="E11" i="12"/>
  <c r="E12" i="12"/>
  <c r="E13" i="12"/>
  <c r="E5" i="12"/>
  <c r="C6" i="12"/>
  <c r="C7" i="12"/>
  <c r="C8" i="12"/>
  <c r="C9" i="12"/>
  <c r="C10" i="12"/>
  <c r="C11" i="12"/>
  <c r="C12" i="12"/>
  <c r="C13" i="12"/>
  <c r="C5" i="12"/>
  <c r="C25" i="10"/>
  <c r="D28" i="10" l="1"/>
  <c r="D29" i="10"/>
  <c r="D30" i="10"/>
  <c r="D31" i="10"/>
  <c r="D32" i="10"/>
  <c r="D33" i="10"/>
  <c r="D34" i="10"/>
  <c r="C14" i="10"/>
  <c r="I5" i="10"/>
  <c r="B10" i="12" l="1"/>
  <c r="B5" i="12"/>
  <c r="J28" i="10" l="1"/>
  <c r="I4" i="10"/>
  <c r="C23" i="10"/>
  <c r="C22" i="10"/>
  <c r="I11" i="10" l="1"/>
  <c r="C21" i="10"/>
  <c r="C24" i="10" s="1"/>
  <c r="C31" i="10" s="1"/>
  <c r="B28" i="10" l="1"/>
  <c r="C28" i="10"/>
  <c r="R6" i="12" l="1"/>
  <c r="O14" i="12"/>
  <c r="N14" i="12"/>
  <c r="M14" i="12"/>
  <c r="L14" i="12"/>
  <c r="K14" i="12"/>
  <c r="J14" i="12"/>
  <c r="I14" i="12"/>
  <c r="H14" i="12"/>
  <c r="F14" i="12"/>
  <c r="R13" i="12"/>
  <c r="B13" i="12"/>
  <c r="P13" i="12" s="1"/>
  <c r="R12" i="12"/>
  <c r="B12" i="12"/>
  <c r="P12" i="12" s="1"/>
  <c r="R11" i="12"/>
  <c r="B11" i="12"/>
  <c r="P11" i="12" s="1"/>
  <c r="R10" i="12"/>
  <c r="P10" i="12"/>
  <c r="R9" i="12"/>
  <c r="B9" i="12"/>
  <c r="P9" i="12" s="1"/>
  <c r="R8" i="12"/>
  <c r="B8" i="12"/>
  <c r="P8" i="12" s="1"/>
  <c r="R7" i="12"/>
  <c r="B7" i="12"/>
  <c r="P7" i="12" s="1"/>
  <c r="P6" i="12"/>
  <c r="B6" i="12"/>
  <c r="R5" i="12"/>
  <c r="P5" i="12"/>
  <c r="R14" i="12" l="1"/>
  <c r="G14" i="12" s="1"/>
  <c r="P14" i="12"/>
  <c r="L28" i="10" s="1"/>
  <c r="L29" i="10" s="1"/>
  <c r="L30" i="10" s="1"/>
  <c r="E31" i="10"/>
  <c r="C34" i="10"/>
  <c r="B32" i="10"/>
  <c r="C16" i="10"/>
  <c r="C32" i="10"/>
  <c r="C29" i="10"/>
  <c r="C33" i="10"/>
  <c r="B33" i="10"/>
  <c r="C30" i="10"/>
  <c r="B29" i="10"/>
  <c r="B34" i="10"/>
  <c r="B31" i="10"/>
  <c r="B30" i="10"/>
  <c r="L31" i="10" l="1"/>
  <c r="E28" i="10"/>
  <c r="E32" i="10"/>
  <c r="E29" i="10"/>
  <c r="E34" i="10"/>
  <c r="E30" i="10"/>
  <c r="E33" i="10"/>
  <c r="L32" i="10" l="1"/>
  <c r="J34" i="10"/>
  <c r="J33" i="10"/>
  <c r="F32" i="10"/>
  <c r="G32" i="10" s="1"/>
  <c r="J32" i="10"/>
  <c r="J31" i="10"/>
  <c r="J30" i="10"/>
  <c r="J29" i="10"/>
  <c r="F28" i="10"/>
  <c r="G28" i="10" s="1"/>
  <c r="K28" i="10" s="1"/>
  <c r="M28" i="10" s="1"/>
  <c r="O28" i="10" s="1"/>
  <c r="P28" i="10" s="1"/>
  <c r="L33" i="10" l="1"/>
  <c r="K32" i="10"/>
  <c r="M32" i="10" s="1"/>
  <c r="O32" i="10" s="1"/>
  <c r="P32" i="10" s="1"/>
  <c r="F30" i="10"/>
  <c r="F34" i="10"/>
  <c r="G34" i="10" s="1"/>
  <c r="F31" i="10"/>
  <c r="F29" i="10"/>
  <c r="F33" i="10"/>
  <c r="L34" i="10" l="1"/>
  <c r="G31" i="10"/>
  <c r="K31" i="10" s="1"/>
  <c r="M31" i="10" s="1"/>
  <c r="O31" i="10" s="1"/>
  <c r="P31" i="10" s="1"/>
  <c r="G33" i="10"/>
  <c r="K33" i="10" s="1"/>
  <c r="M33" i="10" s="1"/>
  <c r="O33" i="10" s="1"/>
  <c r="P33" i="10" s="1"/>
  <c r="G30" i="10"/>
  <c r="K30" i="10" s="1"/>
  <c r="M30" i="10" s="1"/>
  <c r="O30" i="10" s="1"/>
  <c r="P30" i="10" s="1"/>
  <c r="G29" i="10"/>
  <c r="K29" i="10" s="1"/>
  <c r="M29" i="10" s="1"/>
  <c r="O29" i="10" s="1"/>
  <c r="P29" i="10" s="1"/>
  <c r="K34" i="10"/>
  <c r="M34" i="10" l="1"/>
  <c r="O34" i="10" s="1"/>
  <c r="P34" i="10" s="1"/>
</calcChain>
</file>

<file path=xl/sharedStrings.xml><?xml version="1.0" encoding="utf-8"?>
<sst xmlns="http://schemas.openxmlformats.org/spreadsheetml/2006/main" count="76" uniqueCount="76">
  <si>
    <t>AMORTIZACION</t>
  </si>
  <si>
    <t>DIA</t>
  </si>
  <si>
    <t>COSTE MAQUINA</t>
  </si>
  <si>
    <t>VARIOS</t>
  </si>
  <si>
    <t>EJEMPLO 1:</t>
  </si>
  <si>
    <t>COSTE FIJO</t>
  </si>
  <si>
    <t>EJEMPLO 2:</t>
  </si>
  <si>
    <t>EJEMPLO 3:</t>
  </si>
  <si>
    <t>EJEMPLO 4:</t>
  </si>
  <si>
    <t>EJEMPLO 5:</t>
  </si>
  <si>
    <t>EJEMPLO 6:</t>
  </si>
  <si>
    <t>COSTE VARIABLE DIA:</t>
  </si>
  <si>
    <t>EJEMPLO 7:</t>
  </si>
  <si>
    <t>PLAZO AMORTIZACIÓN AÑOS:</t>
  </si>
  <si>
    <t>RENTABILIDAD Y PUNTO EQUILIBRIO EQUIPOS MODELO AGRO300 COMPRA</t>
  </si>
  <si>
    <t>HAS DIA</t>
  </si>
  <si>
    <t>MANTENIMIENTO POR 14.000 HORAS</t>
  </si>
  <si>
    <t xml:space="preserve">COSTES POR DIA </t>
  </si>
  <si>
    <t xml:space="preserve">TOTAL COSTOS </t>
  </si>
  <si>
    <t xml:space="preserve">TOTAL COSTOS VARIABLES </t>
  </si>
  <si>
    <t xml:space="preserve">DIAS DE TRABAJO </t>
  </si>
  <si>
    <t xml:space="preserve">TOTAL DE HECTAREAS </t>
  </si>
  <si>
    <t>PRECIO EURO</t>
  </si>
  <si>
    <t>TOTAL $/DIA</t>
  </si>
  <si>
    <t>PROTOCOLO OCRA</t>
  </si>
  <si>
    <t>SYSTEM</t>
  </si>
  <si>
    <t>PVP INT</t>
  </si>
  <si>
    <t>24 H</t>
  </si>
  <si>
    <t>S.1</t>
  </si>
  <si>
    <t>S.2</t>
  </si>
  <si>
    <t>S.2.1</t>
  </si>
  <si>
    <t>S.3</t>
  </si>
  <si>
    <t>S.4</t>
  </si>
  <si>
    <t>S.5</t>
  </si>
  <si>
    <t>S.6.1</t>
  </si>
  <si>
    <t>S.7.</t>
  </si>
  <si>
    <t>S.B.</t>
  </si>
  <si>
    <t>TOTAL PVP</t>
  </si>
  <si>
    <t>P.T</t>
  </si>
  <si>
    <t xml:space="preserve">7 DIAS </t>
  </si>
  <si>
    <t xml:space="preserve">15 DIAS </t>
  </si>
  <si>
    <t>21 DIAS</t>
  </si>
  <si>
    <t xml:space="preserve">30 DIAS </t>
  </si>
  <si>
    <t>45 DIAS</t>
  </si>
  <si>
    <t>60 DIAS</t>
  </si>
  <si>
    <t>75 DIAS</t>
  </si>
  <si>
    <t>90 DIAS</t>
  </si>
  <si>
    <t>COSTE POR HECTAREA MAQUINA</t>
  </si>
  <si>
    <t>COSTE DE PRODUCTOS POR HECTAREA</t>
  </si>
  <si>
    <t>COSTE TOTAL POR HECTAREA</t>
  </si>
  <si>
    <t>COSTE DE CAMION</t>
  </si>
  <si>
    <t>COSTE DE INVERSION ANUAL:</t>
  </si>
  <si>
    <t xml:space="preserve">COSTE DE GENERADOR DE LUZ </t>
  </si>
  <si>
    <t>COSTE DE CAMION ANUAL</t>
  </si>
  <si>
    <t>COSTE DE GENERADOR DE LUZ ANUAL</t>
  </si>
  <si>
    <t xml:space="preserve">INVERSION INICIAL </t>
  </si>
  <si>
    <t>COSTE DE EQUIPO ANUAL (INCLUYE MANTENIMIENTO)</t>
  </si>
  <si>
    <t>CLIENTE FINAL COMPRA  AGRO3000:</t>
  </si>
  <si>
    <t>MANTENIMIENTO DIA (8 HORAS)</t>
  </si>
  <si>
    <t>PERSONAL (22 DIAS DE TRABAJO)</t>
  </si>
  <si>
    <t>GASOIL VEHICULO (300 KM)</t>
  </si>
  <si>
    <t>CONSUMIBLES (20 AMPOLLAS)</t>
  </si>
  <si>
    <t>GASOIL GENERADOR ELECTRICO (8L/H X 8HORAS)</t>
  </si>
  <si>
    <t>DIETAS (DESAYUNO)</t>
  </si>
  <si>
    <t>PRECIO SUGERIDO  POR HECTAREA</t>
  </si>
  <si>
    <t>GANANCIA NETA POR HECTAREA</t>
  </si>
  <si>
    <t>GANANCIA NETA TOTAL</t>
  </si>
  <si>
    <t>DIAS DE TRABAJO</t>
  </si>
  <si>
    <t>USD</t>
  </si>
  <si>
    <t>COSTE  E</t>
  </si>
  <si>
    <t>C. USD</t>
  </si>
  <si>
    <t>PVP. USD</t>
  </si>
  <si>
    <t>P. VTA. EUR</t>
  </si>
  <si>
    <t>P.VTA. USD</t>
  </si>
  <si>
    <t>TOTAL USD</t>
  </si>
  <si>
    <t>M. 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</si>
</sst>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[$$-409]* #,##0.00_ ;_-[$$-409]* \-#,##0.00\ ;_-[$$-409]* &quot;-&quot;??_ ;_-@_ "/>
    <numFmt numFmtId="165" formatCode="_-* #,##0.00\ [$€-C0A]_-;\-* #,##0.00\ [$€-C0A]_-;_-* &quot;-&quot;??\ [$€-C0A]_-;_-@_-"/>
    <numFmt numFmtId="166" formatCode="0.0"/>
    <numFmt numFmtId="167" formatCode="_-[$$-80A]* #,##0.00_-;\-[$$-80A]* #,##0.00_-;_-[$$-80A]* &quot;-&quot;??_-;_-@_-"/>
    <numFmt numFmtId="169" formatCode="[$$-409]#,##0.00_ ;\-[$$-409]#,##0.00\ "/>
    <numFmt numFmtId="170" formatCode="[$$-409]#,##0.00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7" tint="-0.249977111117893"/>
      <name val="Calibri"/>
      <family val="2"/>
      <scheme val="minor"/>
    </font>
    <font>
      <b/>
      <sz val="12"/>
      <color rgb="FFC49500"/>
      <name val="Calibri"/>
      <family val="2"/>
      <scheme val="minor"/>
    </font>
    <font>
      <b/>
      <sz val="12"/>
      <color rgb="FF00924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0" fillId="0" borderId="0" applyFont="0" applyFill="0" applyBorder="0" applyAlignment="0" applyProtection="0"/>
  </cellStyleXfs>
  <cellXfs count="94">
    <xf numFmtId="0" fontId="0" fillId="0" borderId="0" xfId="0"/>
    <xf numFmtId="0" fontId="6" fillId="0" borderId="0" xfId="0" applyFont="1"/>
    <xf numFmtId="0" fontId="6" fillId="0" borderId="0" xfId="0" applyFont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0" borderId="0" xfId="0" applyFont="1" applyBorder="1"/>
    <xf numFmtId="0" fontId="7" fillId="0" borderId="0" xfId="0" applyFont="1" applyBorder="1"/>
    <xf numFmtId="0" fontId="8" fillId="0" borderId="0" xfId="0" applyFont="1"/>
    <xf numFmtId="0" fontId="9" fillId="0" borderId="0" xfId="0" applyFont="1"/>
    <xf numFmtId="0" fontId="11" fillId="2" borderId="0" xfId="0" applyFont="1" applyFill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8" fillId="0" borderId="0" xfId="0" applyFont="1"/>
    <xf numFmtId="43" fontId="0" fillId="0" borderId="0" xfId="0" applyNumberFormat="1"/>
    <xf numFmtId="164" fontId="12" fillId="0" borderId="0" xfId="0" applyNumberFormat="1" applyFont="1"/>
    <xf numFmtId="164" fontId="11" fillId="0" borderId="0" xfId="9" applyNumberFormat="1" applyFont="1"/>
    <xf numFmtId="164" fontId="6" fillId="0" borderId="0" xfId="0" applyNumberFormat="1" applyFont="1" applyBorder="1"/>
    <xf numFmtId="0" fontId="2" fillId="0" borderId="0" xfId="0" applyFont="1"/>
    <xf numFmtId="0" fontId="19" fillId="0" borderId="0" xfId="0" applyFont="1" applyAlignment="1">
      <alignment horizontal="center"/>
    </xf>
    <xf numFmtId="166" fontId="19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4" fontId="22" fillId="0" borderId="0" xfId="9" applyFont="1" applyAlignment="1">
      <alignment horizontal="center"/>
    </xf>
    <xf numFmtId="0" fontId="19" fillId="0" borderId="1" xfId="0" applyFont="1" applyBorder="1" applyAlignment="1">
      <alignment horizontal="center"/>
    </xf>
    <xf numFmtId="44" fontId="19" fillId="0" borderId="1" xfId="9" applyFont="1" applyBorder="1" applyAlignment="1">
      <alignment horizontal="center"/>
    </xf>
    <xf numFmtId="165" fontId="19" fillId="0" borderId="1" xfId="0" applyNumberFormat="1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165" fontId="19" fillId="0" borderId="3" xfId="0" applyNumberFormat="1" applyFont="1" applyBorder="1" applyAlignment="1">
      <alignment horizontal="center"/>
    </xf>
    <xf numFmtId="44" fontId="19" fillId="0" borderId="3" xfId="9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166" fontId="20" fillId="0" borderId="2" xfId="0" applyNumberFormat="1" applyFont="1" applyBorder="1" applyAlignment="1">
      <alignment horizontal="center"/>
    </xf>
    <xf numFmtId="164" fontId="0" fillId="0" borderId="0" xfId="0" applyNumberFormat="1"/>
    <xf numFmtId="43" fontId="2" fillId="0" borderId="0" xfId="0" applyNumberFormat="1" applyFont="1" applyAlignment="1">
      <alignment horizontal="center"/>
    </xf>
    <xf numFmtId="164" fontId="17" fillId="0" borderId="0" xfId="9" applyNumberFormat="1" applyFont="1"/>
    <xf numFmtId="0" fontId="23" fillId="0" borderId="0" xfId="0" applyFont="1"/>
    <xf numFmtId="0" fontId="24" fillId="0" borderId="0" xfId="0" applyFont="1"/>
    <xf numFmtId="164" fontId="23" fillId="0" borderId="0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164" fontId="7" fillId="0" borderId="0" xfId="9" applyNumberFormat="1" applyFont="1"/>
    <xf numFmtId="0" fontId="23" fillId="0" borderId="0" xfId="0" applyFont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67" fontId="12" fillId="0" borderId="6" xfId="0" applyNumberFormat="1" applyFont="1" applyBorder="1" applyAlignment="1">
      <alignment horizontal="center" vertical="center"/>
    </xf>
    <xf numFmtId="167" fontId="12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0" borderId="5" xfId="0" applyFont="1" applyBorder="1"/>
    <xf numFmtId="0" fontId="3" fillId="0" borderId="5" xfId="0" applyFont="1" applyBorder="1"/>
    <xf numFmtId="164" fontId="12" fillId="0" borderId="5" xfId="9" applyNumberFormat="1" applyFont="1" applyBorder="1"/>
    <xf numFmtId="164" fontId="12" fillId="0" borderId="5" xfId="9" applyNumberFormat="1" applyFont="1" applyFill="1" applyBorder="1"/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1" fillId="4" borderId="5" xfId="0" applyFont="1" applyFill="1" applyBorder="1"/>
    <xf numFmtId="164" fontId="11" fillId="4" borderId="5" xfId="9" applyNumberFormat="1" applyFont="1" applyFill="1" applyBorder="1"/>
    <xf numFmtId="0" fontId="12" fillId="4" borderId="5" xfId="0" applyFont="1" applyFill="1" applyBorder="1"/>
    <xf numFmtId="164" fontId="11" fillId="4" borderId="5" xfId="0" applyNumberFormat="1" applyFont="1" applyFill="1" applyBorder="1"/>
    <xf numFmtId="0" fontId="13" fillId="4" borderId="5" xfId="0" applyFont="1" applyFill="1" applyBorder="1"/>
    <xf numFmtId="167" fontId="13" fillId="0" borderId="0" xfId="0" applyNumberFormat="1" applyFont="1" applyAlignment="1">
      <alignment horizontal="center" vertical="center"/>
    </xf>
    <xf numFmtId="167" fontId="0" fillId="0" borderId="0" xfId="0" applyNumberFormat="1"/>
    <xf numFmtId="164" fontId="12" fillId="0" borderId="7" xfId="0" applyNumberFormat="1" applyFont="1" applyBorder="1" applyAlignment="1">
      <alignment horizontal="center" vertical="center"/>
    </xf>
    <xf numFmtId="164" fontId="13" fillId="0" borderId="7" xfId="0" applyNumberFormat="1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167" fontId="13" fillId="2" borderId="5" xfId="0" applyNumberFormat="1" applyFont="1" applyFill="1" applyBorder="1" applyAlignment="1">
      <alignment horizontal="center" vertical="center"/>
    </xf>
    <xf numFmtId="164" fontId="13" fillId="2" borderId="5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164" fontId="13" fillId="0" borderId="5" xfId="9" applyNumberFormat="1" applyFont="1" applyBorder="1"/>
    <xf numFmtId="0" fontId="19" fillId="0" borderId="0" xfId="0" applyFont="1" applyAlignment="1">
      <alignment horizontal="center"/>
    </xf>
    <xf numFmtId="0" fontId="15" fillId="3" borderId="0" xfId="0" applyFont="1" applyFill="1" applyAlignment="1">
      <alignment horizontal="center"/>
    </xf>
    <xf numFmtId="0" fontId="13" fillId="0" borderId="0" xfId="0" applyFont="1" applyAlignment="1">
      <alignment horizontal="left"/>
    </xf>
    <xf numFmtId="164" fontId="11" fillId="0" borderId="7" xfId="0" applyNumberFormat="1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169" fontId="19" fillId="0" borderId="3" xfId="9" applyNumberFormat="1" applyFont="1" applyBorder="1" applyAlignment="1">
      <alignment horizontal="center"/>
    </xf>
    <xf numFmtId="169" fontId="19" fillId="0" borderId="3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44" fontId="19" fillId="0" borderId="9" xfId="9" applyFont="1" applyBorder="1" applyAlignment="1">
      <alignment horizontal="center"/>
    </xf>
    <xf numFmtId="44" fontId="19" fillId="0" borderId="10" xfId="9" applyFont="1" applyBorder="1" applyAlignment="1">
      <alignment horizontal="center"/>
    </xf>
    <xf numFmtId="44" fontId="19" fillId="0" borderId="11" xfId="9" applyFont="1" applyBorder="1" applyAlignment="1">
      <alignment horizontal="center"/>
    </xf>
    <xf numFmtId="44" fontId="21" fillId="0" borderId="8" xfId="9" applyFont="1" applyBorder="1" applyAlignment="1">
      <alignment horizontal="center"/>
    </xf>
    <xf numFmtId="0" fontId="19" fillId="0" borderId="1" xfId="0" applyFont="1" applyBorder="1"/>
    <xf numFmtId="170" fontId="19" fillId="0" borderId="3" xfId="0" applyNumberFormat="1" applyFont="1" applyBorder="1" applyAlignment="1">
      <alignment horizontal="center"/>
    </xf>
    <xf numFmtId="169" fontId="19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0" fontId="19" fillId="5" borderId="3" xfId="0" applyNumberFormat="1" applyFont="1" applyFill="1" applyBorder="1" applyAlignment="1">
      <alignment horizontal="center"/>
    </xf>
    <xf numFmtId="169" fontId="19" fillId="5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0" fontId="19" fillId="0" borderId="0" xfId="9" applyNumberFormat="1" applyFont="1" applyAlignment="1">
      <alignment horizontal="center"/>
    </xf>
  </cellXfs>
  <cellStyles count="10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Moneda" xfId="9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6F5D6-D5DA-184B-B507-EA2D867A58FF}">
  <dimension ref="A2:U41"/>
  <sheetViews>
    <sheetView zoomScale="83" zoomScaleNormal="130" workbookViewId="0">
      <selection activeCell="E23" sqref="E23"/>
    </sheetView>
  </sheetViews>
  <sheetFormatPr baseColWidth="10" defaultRowHeight="15" x14ac:dyDescent="0.2"/>
  <cols>
    <col min="1" max="1" width="64.5" bestFit="1" customWidth="1"/>
    <col min="2" max="2" width="19.1640625" bestFit="1" customWidth="1"/>
    <col min="3" max="3" width="19.33203125" bestFit="1" customWidth="1"/>
    <col min="4" max="4" width="18.6640625" customWidth="1"/>
    <col min="5" max="5" width="23.5" customWidth="1"/>
    <col min="6" max="6" width="25.5" customWidth="1"/>
    <col min="7" max="7" width="19.1640625" bestFit="1" customWidth="1"/>
    <col min="8" max="8" width="13.6640625" customWidth="1"/>
    <col min="9" max="9" width="25" bestFit="1" customWidth="1"/>
    <col min="10" max="10" width="19.83203125" customWidth="1"/>
    <col min="11" max="11" width="26.83203125" bestFit="1" customWidth="1"/>
    <col min="12" max="13" width="27" customWidth="1"/>
    <col min="14" max="14" width="24" customWidth="1"/>
    <col min="15" max="15" width="30" customWidth="1"/>
    <col min="16" max="17" width="21.6640625" customWidth="1"/>
    <col min="18" max="18" width="18" bestFit="1" customWidth="1"/>
    <col min="19" max="19" width="16.1640625" bestFit="1" customWidth="1"/>
    <col min="21" max="21" width="19.6640625" bestFit="1" customWidth="1"/>
  </cols>
  <sheetData>
    <row r="2" spans="1:11" ht="24" x14ac:dyDescent="0.3">
      <c r="A2" s="11" t="s">
        <v>22</v>
      </c>
      <c r="B2" s="11">
        <v>0.87</v>
      </c>
      <c r="C2" t="s">
        <v>68</v>
      </c>
    </row>
    <row r="3" spans="1:11" ht="19" x14ac:dyDescent="0.25">
      <c r="D3" s="2"/>
      <c r="G3" s="14"/>
      <c r="H3" s="14"/>
      <c r="I3" s="14"/>
    </row>
    <row r="4" spans="1:11" ht="29" x14ac:dyDescent="0.35">
      <c r="A4" s="5"/>
      <c r="B4" s="5"/>
      <c r="C4" s="2"/>
      <c r="D4" s="2"/>
      <c r="E4" s="13" t="s">
        <v>57</v>
      </c>
      <c r="I4" s="35">
        <f>260000/B2</f>
        <v>298850.57471264369</v>
      </c>
      <c r="J4" s="14"/>
      <c r="K4" s="14"/>
    </row>
    <row r="5" spans="1:11" ht="21" x14ac:dyDescent="0.25">
      <c r="A5" s="9" t="s">
        <v>2</v>
      </c>
      <c r="B5" s="3"/>
      <c r="C5" s="4" t="s">
        <v>1</v>
      </c>
      <c r="D5" s="17"/>
      <c r="E5" s="39" t="s">
        <v>16</v>
      </c>
      <c r="F5" s="1"/>
      <c r="G5" s="1"/>
      <c r="H5" s="1"/>
      <c r="I5" s="40">
        <f>35000/B2</f>
        <v>40229.885057471263</v>
      </c>
    </row>
    <row r="6" spans="1:11" ht="21" x14ac:dyDescent="0.25">
      <c r="A6" s="50"/>
      <c r="B6" s="51"/>
      <c r="C6" s="52"/>
      <c r="D6" s="2"/>
    </row>
    <row r="7" spans="1:11" ht="24" x14ac:dyDescent="0.3">
      <c r="A7" s="50" t="s">
        <v>62</v>
      </c>
      <c r="B7" s="51"/>
      <c r="C7" s="52">
        <v>60.8</v>
      </c>
      <c r="D7" s="2"/>
      <c r="E7" s="75" t="s">
        <v>52</v>
      </c>
      <c r="F7" s="75"/>
      <c r="I7" s="16">
        <v>10350</v>
      </c>
    </row>
    <row r="8" spans="1:11" ht="24" x14ac:dyDescent="0.3">
      <c r="A8" s="50"/>
      <c r="B8" s="51"/>
      <c r="C8" s="53"/>
      <c r="D8" s="2"/>
      <c r="E8" s="75" t="s">
        <v>50</v>
      </c>
      <c r="F8" s="75"/>
      <c r="I8" s="15">
        <v>46000</v>
      </c>
    </row>
    <row r="9" spans="1:11" ht="26" x14ac:dyDescent="0.3">
      <c r="A9" s="50" t="s">
        <v>60</v>
      </c>
      <c r="B9" s="51"/>
      <c r="C9" s="53">
        <v>50</v>
      </c>
      <c r="D9" s="2"/>
      <c r="E9" s="11" t="s">
        <v>13</v>
      </c>
      <c r="I9" s="41">
        <v>7</v>
      </c>
    </row>
    <row r="10" spans="1:11" ht="24" x14ac:dyDescent="0.3">
      <c r="A10" s="50" t="s">
        <v>61</v>
      </c>
      <c r="B10" s="51"/>
      <c r="C10" s="53">
        <v>20</v>
      </c>
      <c r="D10" s="2"/>
      <c r="E10" s="12"/>
      <c r="I10" s="10"/>
      <c r="J10" s="33"/>
    </row>
    <row r="11" spans="1:11" ht="26" x14ac:dyDescent="0.3">
      <c r="A11" s="50" t="s">
        <v>59</v>
      </c>
      <c r="B11" s="51"/>
      <c r="C11" s="53">
        <v>45.5</v>
      </c>
      <c r="D11" s="2"/>
      <c r="E11" s="36" t="s">
        <v>55</v>
      </c>
      <c r="F11" s="37"/>
      <c r="G11" s="37"/>
      <c r="H11" s="37"/>
      <c r="I11" s="38">
        <f>I4+I7+I8</f>
        <v>355200.57471264369</v>
      </c>
    </row>
    <row r="12" spans="1:11" ht="21" x14ac:dyDescent="0.25">
      <c r="A12" s="50" t="s">
        <v>63</v>
      </c>
      <c r="B12" s="51"/>
      <c r="C12" s="53">
        <v>10</v>
      </c>
      <c r="D12" s="2"/>
      <c r="E12" s="1"/>
    </row>
    <row r="13" spans="1:11" ht="21" x14ac:dyDescent="0.25">
      <c r="A13" s="50" t="s">
        <v>3</v>
      </c>
      <c r="B13" s="51"/>
      <c r="C13" s="53">
        <v>20</v>
      </c>
      <c r="D13" s="2"/>
    </row>
    <row r="14" spans="1:11" ht="21" x14ac:dyDescent="0.25">
      <c r="A14" s="50" t="s">
        <v>58</v>
      </c>
      <c r="B14" s="51"/>
      <c r="C14" s="53">
        <f>(40229.89/14000)*8</f>
        <v>22.988508571428572</v>
      </c>
      <c r="D14" s="2"/>
    </row>
    <row r="15" spans="1:11" ht="21" x14ac:dyDescent="0.25">
      <c r="A15" s="50"/>
      <c r="B15" s="51"/>
      <c r="C15" s="53"/>
      <c r="D15" s="2"/>
    </row>
    <row r="16" spans="1:11" ht="24" x14ac:dyDescent="0.3">
      <c r="A16" s="50" t="s">
        <v>23</v>
      </c>
      <c r="B16" s="51"/>
      <c r="C16" s="72">
        <f>SUM(C5:C15)</f>
        <v>229.28850857142859</v>
      </c>
      <c r="D16" s="2"/>
      <c r="H16" s="14"/>
    </row>
    <row r="17" spans="1:21" ht="19" x14ac:dyDescent="0.25">
      <c r="A17" s="6"/>
      <c r="B17" s="5"/>
      <c r="C17" s="2"/>
      <c r="D17" s="2"/>
    </row>
    <row r="19" spans="1:21" ht="29" x14ac:dyDescent="0.35">
      <c r="B19" s="74" t="s">
        <v>14</v>
      </c>
      <c r="C19" s="74"/>
      <c r="D19" s="74"/>
      <c r="E19" s="74"/>
      <c r="F19" s="74"/>
      <c r="G19" s="74"/>
      <c r="H19" s="74"/>
      <c r="I19" s="74"/>
      <c r="J19" s="33"/>
    </row>
    <row r="21" spans="1:21" ht="21" x14ac:dyDescent="0.25">
      <c r="A21" s="57" t="s">
        <v>56</v>
      </c>
      <c r="B21" s="57"/>
      <c r="C21" s="58">
        <f>I4/I9</f>
        <v>42692.939244663386</v>
      </c>
      <c r="F21" s="8"/>
    </row>
    <row r="22" spans="1:21" ht="21" x14ac:dyDescent="0.25">
      <c r="A22" s="57" t="s">
        <v>53</v>
      </c>
      <c r="B22" s="59"/>
      <c r="C22" s="60">
        <f>I8/I9</f>
        <v>6571.4285714285716</v>
      </c>
      <c r="I22" s="33"/>
    </row>
    <row r="23" spans="1:21" ht="21" x14ac:dyDescent="0.25">
      <c r="A23" s="57" t="s">
        <v>54</v>
      </c>
      <c r="B23" s="59"/>
      <c r="C23" s="60">
        <f>I7/I9</f>
        <v>1478.5714285714287</v>
      </c>
    </row>
    <row r="24" spans="1:21" ht="24" x14ac:dyDescent="0.3">
      <c r="A24" s="61" t="s">
        <v>51</v>
      </c>
      <c r="B24" s="61"/>
      <c r="C24" s="58">
        <f>C21+C22+C23</f>
        <v>50742.939244663386</v>
      </c>
      <c r="D24" s="7"/>
      <c r="E24" s="7"/>
      <c r="F24" s="7"/>
      <c r="G24" s="7"/>
      <c r="H24" s="7"/>
      <c r="I24" s="7"/>
      <c r="J24" s="7"/>
      <c r="U24" s="63"/>
    </row>
    <row r="25" spans="1:21" ht="21" x14ac:dyDescent="0.25">
      <c r="A25" s="57" t="s">
        <v>11</v>
      </c>
      <c r="B25" s="57"/>
      <c r="C25" s="58">
        <f>C6+C7+C8+C9+C10+C11+C12+C13+C14</f>
        <v>229.28850857142859</v>
      </c>
      <c r="D25" s="7"/>
      <c r="E25" s="7"/>
      <c r="F25" s="7"/>
      <c r="G25" s="7"/>
      <c r="H25" s="7"/>
      <c r="I25" s="7"/>
      <c r="J25" s="7"/>
    </row>
    <row r="26" spans="1:21" ht="20" thickBot="1" x14ac:dyDescent="0.3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21" s="43" customFormat="1" ht="38" customHeight="1" thickBot="1" x14ac:dyDescent="0.25">
      <c r="A27" s="42"/>
      <c r="B27" s="54" t="s">
        <v>5</v>
      </c>
      <c r="C27" s="55" t="s">
        <v>0</v>
      </c>
      <c r="D27" s="55" t="s">
        <v>20</v>
      </c>
      <c r="E27" s="56" t="s">
        <v>17</v>
      </c>
      <c r="F27" s="55" t="s">
        <v>19</v>
      </c>
      <c r="G27" s="55" t="s">
        <v>18</v>
      </c>
      <c r="H27" s="54" t="s">
        <v>15</v>
      </c>
      <c r="I27" s="54" t="s">
        <v>67</v>
      </c>
      <c r="J27" s="55" t="s">
        <v>21</v>
      </c>
      <c r="K27" s="55" t="s">
        <v>47</v>
      </c>
      <c r="L27" s="55" t="s">
        <v>48</v>
      </c>
      <c r="M27" s="55" t="s">
        <v>49</v>
      </c>
      <c r="N27" s="55" t="s">
        <v>64</v>
      </c>
      <c r="O27" s="55" t="s">
        <v>65</v>
      </c>
      <c r="P27" s="55" t="s">
        <v>66</v>
      </c>
    </row>
    <row r="28" spans="1:21" s="45" customFormat="1" ht="24" x14ac:dyDescent="0.2">
      <c r="A28" s="46" t="s">
        <v>4</v>
      </c>
      <c r="B28" s="47">
        <f>$C$24</f>
        <v>50742.939244663386</v>
      </c>
      <c r="C28" s="47">
        <f>C24/I28/B2</f>
        <v>333.28695727200909</v>
      </c>
      <c r="D28" s="47">
        <f t="shared" ref="D28:D34" si="0">I28</f>
        <v>175</v>
      </c>
      <c r="E28" s="47">
        <f>C25</f>
        <v>229.28850857142859</v>
      </c>
      <c r="F28" s="47">
        <f t="shared" ref="F28:F34" si="1">(D28*E28)</f>
        <v>40125.489000000001</v>
      </c>
      <c r="G28" s="47">
        <f t="shared" ref="G28:G34" si="2">B28+F28+C28</f>
        <v>91201.715201935396</v>
      </c>
      <c r="H28" s="47">
        <v>6</v>
      </c>
      <c r="I28" s="47">
        <v>175</v>
      </c>
      <c r="J28" s="47">
        <f>I28*H28</f>
        <v>1050</v>
      </c>
      <c r="K28" s="47">
        <f t="shared" ref="K28:K34" si="3">G28/J28</f>
        <v>86.858776382795611</v>
      </c>
      <c r="L28" s="47">
        <f>'PROTOCLO OCRA'!P14/B2</f>
        <v>577.41379310344826</v>
      </c>
      <c r="M28" s="47">
        <f t="shared" ref="M28:M34" si="4">L28+K28</f>
        <v>664.27256948624381</v>
      </c>
      <c r="N28" s="76">
        <v>1150</v>
      </c>
      <c r="O28" s="64">
        <f>N28-M28</f>
        <v>485.72743051375619</v>
      </c>
      <c r="P28" s="65">
        <f>O28*J28</f>
        <v>510013.80203944398</v>
      </c>
    </row>
    <row r="29" spans="1:21" s="45" customFormat="1" ht="24" x14ac:dyDescent="0.2">
      <c r="A29" s="49" t="s">
        <v>6</v>
      </c>
      <c r="B29" s="48">
        <f t="shared" ref="B29:B34" si="5">$C$24</f>
        <v>50742.939244663386</v>
      </c>
      <c r="C29" s="48">
        <f>C24/I29/B2</f>
        <v>388.83478348401064</v>
      </c>
      <c r="D29" s="48">
        <f t="shared" si="0"/>
        <v>150</v>
      </c>
      <c r="E29" s="48">
        <f>C25</f>
        <v>229.28850857142859</v>
      </c>
      <c r="F29" s="48">
        <f t="shared" si="1"/>
        <v>34393.276285714288</v>
      </c>
      <c r="G29" s="48">
        <f t="shared" si="2"/>
        <v>85525.050313861677</v>
      </c>
      <c r="H29" s="48">
        <v>6</v>
      </c>
      <c r="I29" s="48">
        <v>150</v>
      </c>
      <c r="J29" s="48">
        <f t="shared" ref="J29:J34" si="6">H29*I29</f>
        <v>900</v>
      </c>
      <c r="K29" s="48">
        <f t="shared" si="3"/>
        <v>95.027833682068533</v>
      </c>
      <c r="L29" s="48">
        <f>L28</f>
        <v>577.41379310344826</v>
      </c>
      <c r="M29" s="48">
        <f t="shared" si="4"/>
        <v>672.44162678551675</v>
      </c>
      <c r="N29" s="77"/>
      <c r="O29" s="66">
        <f>N28-M29</f>
        <v>477.55837321448325</v>
      </c>
      <c r="P29" s="67">
        <f t="shared" ref="P29:P34" si="7">O29*J29</f>
        <v>429802.53589303495</v>
      </c>
    </row>
    <row r="30" spans="1:21" s="45" customFormat="1" ht="24" x14ac:dyDescent="0.2">
      <c r="A30" s="49" t="s">
        <v>7</v>
      </c>
      <c r="B30" s="48">
        <f t="shared" si="5"/>
        <v>50742.939244663386</v>
      </c>
      <c r="C30" s="48">
        <f>C24/I30/B2</f>
        <v>466.60174018081278</v>
      </c>
      <c r="D30" s="48">
        <f t="shared" si="0"/>
        <v>125</v>
      </c>
      <c r="E30" s="48">
        <f>C25</f>
        <v>229.28850857142859</v>
      </c>
      <c r="F30" s="48">
        <f t="shared" si="1"/>
        <v>28661.063571428575</v>
      </c>
      <c r="G30" s="48">
        <f t="shared" si="2"/>
        <v>79870.604556272767</v>
      </c>
      <c r="H30" s="48">
        <v>6</v>
      </c>
      <c r="I30" s="48">
        <v>125</v>
      </c>
      <c r="J30" s="48">
        <f t="shared" si="6"/>
        <v>750</v>
      </c>
      <c r="K30" s="48">
        <f t="shared" si="3"/>
        <v>106.49413940836369</v>
      </c>
      <c r="L30" s="48">
        <f t="shared" ref="L30:L34" si="8">L29</f>
        <v>577.41379310344826</v>
      </c>
      <c r="M30" s="48">
        <f t="shared" si="4"/>
        <v>683.90793251181196</v>
      </c>
      <c r="N30" s="77"/>
      <c r="O30" s="66">
        <f>N28-M30</f>
        <v>466.09206748818804</v>
      </c>
      <c r="P30" s="67">
        <f t="shared" si="7"/>
        <v>349569.050616141</v>
      </c>
    </row>
    <row r="31" spans="1:21" s="71" customFormat="1" ht="24" x14ac:dyDescent="0.2">
      <c r="A31" s="68" t="s">
        <v>8</v>
      </c>
      <c r="B31" s="69">
        <f t="shared" si="5"/>
        <v>50742.939244663386</v>
      </c>
      <c r="C31" s="69">
        <f>C24/I31/B2</f>
        <v>583.25217522601599</v>
      </c>
      <c r="D31" s="69">
        <f t="shared" si="0"/>
        <v>100</v>
      </c>
      <c r="E31" s="69">
        <f>C25</f>
        <v>229.28850857142859</v>
      </c>
      <c r="F31" s="69">
        <f t="shared" si="1"/>
        <v>22928.850857142861</v>
      </c>
      <c r="G31" s="69">
        <f t="shared" si="2"/>
        <v>74255.042277032277</v>
      </c>
      <c r="H31" s="69">
        <v>6</v>
      </c>
      <c r="I31" s="69">
        <v>100</v>
      </c>
      <c r="J31" s="69">
        <f t="shared" si="6"/>
        <v>600</v>
      </c>
      <c r="K31" s="69">
        <f t="shared" si="3"/>
        <v>123.75840379505379</v>
      </c>
      <c r="L31" s="69">
        <f t="shared" si="8"/>
        <v>577.41379310344826</v>
      </c>
      <c r="M31" s="69">
        <f t="shared" si="4"/>
        <v>701.17219689850208</v>
      </c>
      <c r="N31" s="77"/>
      <c r="O31" s="70">
        <f>N28-M31</f>
        <v>448.82780310149792</v>
      </c>
      <c r="P31" s="70">
        <f t="shared" si="7"/>
        <v>269296.68186089874</v>
      </c>
    </row>
    <row r="32" spans="1:21" s="45" customFormat="1" ht="24" x14ac:dyDescent="0.2">
      <c r="A32" s="49" t="s">
        <v>9</v>
      </c>
      <c r="B32" s="48">
        <f t="shared" si="5"/>
        <v>50742.939244663386</v>
      </c>
      <c r="C32" s="48">
        <f>C24/I32/B2</f>
        <v>777.66956696802129</v>
      </c>
      <c r="D32" s="48">
        <f t="shared" si="0"/>
        <v>75</v>
      </c>
      <c r="E32" s="48">
        <f>C25</f>
        <v>229.28850857142859</v>
      </c>
      <c r="F32" s="48">
        <f t="shared" si="1"/>
        <v>17196.638142857144</v>
      </c>
      <c r="G32" s="48">
        <f t="shared" si="2"/>
        <v>68717.246954488553</v>
      </c>
      <c r="H32" s="48">
        <v>6</v>
      </c>
      <c r="I32" s="48">
        <v>75</v>
      </c>
      <c r="J32" s="48">
        <f t="shared" si="6"/>
        <v>450</v>
      </c>
      <c r="K32" s="48">
        <f t="shared" si="3"/>
        <v>152.70499323219678</v>
      </c>
      <c r="L32" s="48">
        <f t="shared" si="8"/>
        <v>577.41379310344826</v>
      </c>
      <c r="M32" s="48">
        <f t="shared" si="4"/>
        <v>730.11878633564504</v>
      </c>
      <c r="N32" s="77"/>
      <c r="O32" s="66">
        <f>N28-M32</f>
        <v>419.88121366435496</v>
      </c>
      <c r="P32" s="67">
        <f t="shared" si="7"/>
        <v>188946.54614895972</v>
      </c>
    </row>
    <row r="33" spans="1:18" s="45" customFormat="1" ht="24" x14ac:dyDescent="0.2">
      <c r="A33" s="49" t="s">
        <v>10</v>
      </c>
      <c r="B33" s="48">
        <f t="shared" si="5"/>
        <v>50742.939244663386</v>
      </c>
      <c r="C33" s="48">
        <f>C24/I33</f>
        <v>1014.8587848932677</v>
      </c>
      <c r="D33" s="48">
        <f t="shared" si="0"/>
        <v>50</v>
      </c>
      <c r="E33" s="48">
        <f>C25</f>
        <v>229.28850857142859</v>
      </c>
      <c r="F33" s="48">
        <f t="shared" si="1"/>
        <v>11464.425428571431</v>
      </c>
      <c r="G33" s="48">
        <f t="shared" si="2"/>
        <v>63222.223458128079</v>
      </c>
      <c r="H33" s="48">
        <v>6</v>
      </c>
      <c r="I33" s="48">
        <v>50</v>
      </c>
      <c r="J33" s="48">
        <f t="shared" si="6"/>
        <v>300</v>
      </c>
      <c r="K33" s="48">
        <f t="shared" si="3"/>
        <v>210.74074486042693</v>
      </c>
      <c r="L33" s="48">
        <f t="shared" si="8"/>
        <v>577.41379310344826</v>
      </c>
      <c r="M33" s="48">
        <f t="shared" si="4"/>
        <v>788.15453796387521</v>
      </c>
      <c r="N33" s="77"/>
      <c r="O33" s="66">
        <f>N28-M33</f>
        <v>361.84546203612479</v>
      </c>
      <c r="P33" s="67">
        <f t="shared" si="7"/>
        <v>108553.63861083744</v>
      </c>
    </row>
    <row r="34" spans="1:18" s="45" customFormat="1" ht="24" x14ac:dyDescent="0.2">
      <c r="A34" s="49" t="s">
        <v>12</v>
      </c>
      <c r="B34" s="48">
        <f t="shared" si="5"/>
        <v>50742.939244663386</v>
      </c>
      <c r="C34" s="48">
        <f>C24/I34/B2</f>
        <v>2333.008700904064</v>
      </c>
      <c r="D34" s="48">
        <f t="shared" si="0"/>
        <v>25</v>
      </c>
      <c r="E34" s="48">
        <f>C25</f>
        <v>229.28850857142859</v>
      </c>
      <c r="F34" s="48">
        <f t="shared" si="1"/>
        <v>5732.2127142857153</v>
      </c>
      <c r="G34" s="48">
        <f t="shared" si="2"/>
        <v>58808.160659853165</v>
      </c>
      <c r="H34" s="48">
        <v>6</v>
      </c>
      <c r="I34" s="48">
        <v>25</v>
      </c>
      <c r="J34" s="48">
        <f t="shared" si="6"/>
        <v>150</v>
      </c>
      <c r="K34" s="48">
        <f t="shared" si="3"/>
        <v>392.05440439902111</v>
      </c>
      <c r="L34" s="48">
        <f t="shared" si="8"/>
        <v>577.41379310344826</v>
      </c>
      <c r="M34" s="48">
        <f t="shared" si="4"/>
        <v>969.46819750246937</v>
      </c>
      <c r="N34" s="77"/>
      <c r="O34" s="66">
        <f>N28-M34</f>
        <v>180.53180249753063</v>
      </c>
      <c r="P34" s="67">
        <f t="shared" si="7"/>
        <v>27079.770374629596</v>
      </c>
    </row>
    <row r="35" spans="1:18" s="43" customFormat="1" x14ac:dyDescent="0.2"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</row>
    <row r="36" spans="1:18" s="43" customFormat="1" x14ac:dyDescent="0.2"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</row>
    <row r="37" spans="1:18" s="43" customFormat="1" x14ac:dyDescent="0.2"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8" spans="1:18" s="43" customFormat="1" x14ac:dyDescent="0.2"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</row>
    <row r="39" spans="1:18" s="43" customFormat="1" x14ac:dyDescent="0.2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</row>
    <row r="40" spans="1:18" s="43" customFormat="1" x14ac:dyDescent="0.2"/>
    <row r="41" spans="1:18" s="43" customFormat="1" ht="24" x14ac:dyDescent="0.2">
      <c r="M41" s="44"/>
      <c r="N41" s="62"/>
    </row>
  </sheetData>
  <mergeCells count="4">
    <mergeCell ref="B19:I19"/>
    <mergeCell ref="E8:F8"/>
    <mergeCell ref="E7:F7"/>
    <mergeCell ref="N28:N34"/>
  </mergeCells>
  <pageMargins left="0.7" right="0.7" top="0.75" bottom="0.75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A44DE-8A4F-4B4D-BCCB-4F60CF91BCA9}">
  <dimension ref="A1:X21"/>
  <sheetViews>
    <sheetView tabSelected="1" zoomScale="110" workbookViewId="0">
      <selection activeCell="R17" sqref="R17"/>
    </sheetView>
  </sheetViews>
  <sheetFormatPr baseColWidth="10" defaultRowHeight="16" x14ac:dyDescent="0.2"/>
  <cols>
    <col min="1" max="1" width="7.6640625" style="18" customWidth="1"/>
    <col min="2" max="2" width="8.5" style="18" bestFit="1" customWidth="1"/>
    <col min="3" max="3" width="10.33203125" style="18" customWidth="1"/>
    <col min="4" max="4" width="8.5" style="18" bestFit="1" customWidth="1"/>
    <col min="5" max="5" width="8.5" style="18" customWidth="1"/>
    <col min="6" max="6" width="4.6640625" style="18" customWidth="1"/>
    <col min="7" max="7" width="5.6640625" style="18" customWidth="1"/>
    <col min="8" max="8" width="5.5" style="18" customWidth="1"/>
    <col min="9" max="9" width="7.1640625" style="18" customWidth="1"/>
    <col min="10" max="10" width="7" style="18" customWidth="1"/>
    <col min="11" max="11" width="7.6640625" style="18" customWidth="1"/>
    <col min="12" max="12" width="7.33203125" style="18" customWidth="1"/>
    <col min="13" max="13" width="7.6640625" style="18" bestFit="1" customWidth="1"/>
    <col min="14" max="14" width="7.1640625" style="18" customWidth="1"/>
    <col min="15" max="15" width="7.33203125" style="18" customWidth="1"/>
    <col min="16" max="16" width="17.6640625" style="18" bestFit="1" customWidth="1"/>
    <col min="17" max="17" width="17.6640625" style="18" customWidth="1"/>
    <col min="18" max="18" width="11.6640625" style="18" bestFit="1" customWidth="1"/>
    <col min="19" max="16384" width="10.83203125" style="18"/>
  </cols>
  <sheetData>
    <row r="1" spans="1:24" ht="19" x14ac:dyDescent="0.25">
      <c r="A1" s="88" t="s">
        <v>24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24" ht="19" x14ac:dyDescent="0.2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24" ht="17" thickBot="1" x14ac:dyDescent="0.25"/>
    <row r="4" spans="1:24" ht="17" thickBot="1" x14ac:dyDescent="0.25">
      <c r="A4" s="28" t="s">
        <v>25</v>
      </c>
      <c r="B4" s="28" t="s">
        <v>69</v>
      </c>
      <c r="C4" s="28" t="s">
        <v>70</v>
      </c>
      <c r="D4" s="28" t="s">
        <v>26</v>
      </c>
      <c r="E4" s="28" t="s">
        <v>71</v>
      </c>
      <c r="F4" s="28" t="s">
        <v>38</v>
      </c>
      <c r="G4" s="28" t="s">
        <v>27</v>
      </c>
      <c r="H4" s="28" t="s">
        <v>39</v>
      </c>
      <c r="I4" s="28" t="s">
        <v>40</v>
      </c>
      <c r="J4" s="28" t="s">
        <v>41</v>
      </c>
      <c r="K4" s="28" t="s">
        <v>42</v>
      </c>
      <c r="L4" s="28" t="s">
        <v>43</v>
      </c>
      <c r="M4" s="28" t="s">
        <v>44</v>
      </c>
      <c r="N4" s="28" t="s">
        <v>45</v>
      </c>
      <c r="O4" s="28" t="s">
        <v>46</v>
      </c>
      <c r="P4" s="28" t="s">
        <v>72</v>
      </c>
      <c r="Q4" s="28" t="s">
        <v>73</v>
      </c>
      <c r="R4" s="80" t="s">
        <v>37</v>
      </c>
      <c r="S4" s="85" t="s">
        <v>74</v>
      </c>
    </row>
    <row r="5" spans="1:24" x14ac:dyDescent="0.2">
      <c r="A5" s="27" t="s">
        <v>28</v>
      </c>
      <c r="B5" s="29">
        <f>(D5-(25*D5/100))</f>
        <v>34.125</v>
      </c>
      <c r="C5" s="79">
        <f>(B5*1.13)</f>
        <v>38.561249999999994</v>
      </c>
      <c r="D5" s="30">
        <v>45.5</v>
      </c>
      <c r="E5" s="78">
        <f>(D5*1.13)</f>
        <v>51.414999999999992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>
        <f>(O5+N5+M5+L5+K5+J5+I5+H5+G5+F5)*B5</f>
        <v>0</v>
      </c>
      <c r="Q5" s="86">
        <f>(P5*1.13)</f>
        <v>0</v>
      </c>
      <c r="R5" s="81">
        <f t="shared" ref="R5:R13" si="0">SUM(F5:O5)*D5</f>
        <v>0</v>
      </c>
      <c r="S5" s="87">
        <f>(R5*1.13)</f>
        <v>0</v>
      </c>
    </row>
    <row r="6" spans="1:24" x14ac:dyDescent="0.2">
      <c r="A6" s="24" t="s">
        <v>29</v>
      </c>
      <c r="B6" s="26">
        <f t="shared" ref="B6:B13" si="1">(D6-(25*D6/100))</f>
        <v>9.120000000000001</v>
      </c>
      <c r="C6" s="79">
        <f t="shared" ref="C6:C13" si="2">(B6*1.13)</f>
        <v>10.3056</v>
      </c>
      <c r="D6" s="25">
        <v>12.16</v>
      </c>
      <c r="E6" s="78">
        <f t="shared" ref="E6:E13" si="3">(D6*1.13)</f>
        <v>13.740799999999998</v>
      </c>
      <c r="F6" s="24"/>
      <c r="G6" s="24">
        <v>5</v>
      </c>
      <c r="H6" s="24"/>
      <c r="I6" s="24"/>
      <c r="J6" s="24"/>
      <c r="K6" s="24"/>
      <c r="L6" s="24"/>
      <c r="M6" s="24"/>
      <c r="N6" s="24"/>
      <c r="O6" s="24"/>
      <c r="P6" s="24">
        <f t="shared" ref="P6:P13" si="4">(O6+N6+M6+L6+K6+J6+I6+H6+G6+F6)*B6</f>
        <v>45.600000000000009</v>
      </c>
      <c r="Q6" s="86">
        <f t="shared" ref="Q6:Q13" si="5">(P6*1.13)</f>
        <v>51.528000000000006</v>
      </c>
      <c r="R6" s="82">
        <f t="shared" si="0"/>
        <v>60.8</v>
      </c>
      <c r="S6" s="87">
        <f t="shared" ref="S6:S14" si="6">(R6*1.13)</f>
        <v>68.703999999999994</v>
      </c>
    </row>
    <row r="7" spans="1:24" x14ac:dyDescent="0.2">
      <c r="A7" s="24" t="s">
        <v>30</v>
      </c>
      <c r="B7" s="26">
        <f t="shared" si="1"/>
        <v>6</v>
      </c>
      <c r="C7" s="79">
        <f t="shared" si="2"/>
        <v>6.7799999999999994</v>
      </c>
      <c r="D7" s="25">
        <v>8</v>
      </c>
      <c r="E7" s="78">
        <f t="shared" si="3"/>
        <v>9.0399999999999991</v>
      </c>
      <c r="F7" s="24"/>
      <c r="G7" s="24"/>
      <c r="H7" s="24">
        <v>5</v>
      </c>
      <c r="I7" s="24">
        <v>5</v>
      </c>
      <c r="J7" s="24">
        <v>5</v>
      </c>
      <c r="K7" s="24">
        <v>5</v>
      </c>
      <c r="L7" s="24">
        <v>5</v>
      </c>
      <c r="M7" s="24">
        <v>5</v>
      </c>
      <c r="N7" s="24">
        <v>5</v>
      </c>
      <c r="O7" s="24">
        <v>5</v>
      </c>
      <c r="P7" s="24">
        <f t="shared" si="4"/>
        <v>240</v>
      </c>
      <c r="Q7" s="86">
        <f t="shared" si="5"/>
        <v>271.2</v>
      </c>
      <c r="R7" s="82">
        <f t="shared" si="0"/>
        <v>320</v>
      </c>
      <c r="S7" s="87">
        <f t="shared" si="6"/>
        <v>361.59999999999997</v>
      </c>
    </row>
    <row r="8" spans="1:24" x14ac:dyDescent="0.2">
      <c r="A8" s="24" t="s">
        <v>31</v>
      </c>
      <c r="B8" s="26">
        <f t="shared" si="1"/>
        <v>36</v>
      </c>
      <c r="C8" s="79">
        <f t="shared" si="2"/>
        <v>40.679999999999993</v>
      </c>
      <c r="D8" s="25">
        <v>48</v>
      </c>
      <c r="E8" s="78">
        <f t="shared" si="3"/>
        <v>54.239999999999995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>
        <f t="shared" si="4"/>
        <v>0</v>
      </c>
      <c r="Q8" s="86">
        <f t="shared" si="5"/>
        <v>0</v>
      </c>
      <c r="R8" s="82">
        <f t="shared" si="0"/>
        <v>0</v>
      </c>
      <c r="S8" s="87">
        <f t="shared" si="6"/>
        <v>0</v>
      </c>
    </row>
    <row r="9" spans="1:24" x14ac:dyDescent="0.2">
      <c r="A9" s="24" t="s">
        <v>32</v>
      </c>
      <c r="B9" s="26">
        <f t="shared" si="1"/>
        <v>32.625</v>
      </c>
      <c r="C9" s="79">
        <f t="shared" si="2"/>
        <v>36.866249999999994</v>
      </c>
      <c r="D9" s="25">
        <v>43.5</v>
      </c>
      <c r="E9" s="78">
        <f t="shared" si="3"/>
        <v>49.154999999999994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>
        <f t="shared" si="4"/>
        <v>0</v>
      </c>
      <c r="Q9" s="86">
        <f t="shared" si="5"/>
        <v>0</v>
      </c>
      <c r="R9" s="82">
        <f t="shared" si="0"/>
        <v>0</v>
      </c>
      <c r="S9" s="87">
        <f t="shared" si="6"/>
        <v>0</v>
      </c>
    </row>
    <row r="10" spans="1:24" x14ac:dyDescent="0.2">
      <c r="A10" s="24" t="s">
        <v>33</v>
      </c>
      <c r="B10" s="26">
        <f>(D10-(25*D10/100))</f>
        <v>20.625</v>
      </c>
      <c r="C10" s="79">
        <f t="shared" si="2"/>
        <v>23.306249999999999</v>
      </c>
      <c r="D10" s="25">
        <v>27.5</v>
      </c>
      <c r="E10" s="78">
        <f t="shared" si="3"/>
        <v>31.074999999999996</v>
      </c>
      <c r="F10" s="24">
        <v>1</v>
      </c>
      <c r="G10" s="24"/>
      <c r="H10" s="24"/>
      <c r="I10" s="24"/>
      <c r="J10" s="24"/>
      <c r="K10" s="24">
        <v>3</v>
      </c>
      <c r="L10" s="24"/>
      <c r="M10" s="24"/>
      <c r="N10" s="24"/>
      <c r="O10" s="24"/>
      <c r="P10" s="24">
        <f t="shared" si="4"/>
        <v>82.5</v>
      </c>
      <c r="Q10" s="86">
        <f t="shared" si="5"/>
        <v>93.224999999999994</v>
      </c>
      <c r="R10" s="82">
        <f t="shared" si="0"/>
        <v>110</v>
      </c>
      <c r="S10" s="87">
        <f t="shared" si="6"/>
        <v>124.29999999999998</v>
      </c>
    </row>
    <row r="11" spans="1:24" x14ac:dyDescent="0.2">
      <c r="A11" s="24" t="s">
        <v>34</v>
      </c>
      <c r="B11" s="26">
        <f t="shared" si="1"/>
        <v>5.25</v>
      </c>
      <c r="C11" s="79">
        <f t="shared" si="2"/>
        <v>5.9324999999999992</v>
      </c>
      <c r="D11" s="25">
        <v>7</v>
      </c>
      <c r="E11" s="78">
        <f t="shared" si="3"/>
        <v>7.9099999999999993</v>
      </c>
      <c r="F11" s="24"/>
      <c r="G11" s="24">
        <v>2.5</v>
      </c>
      <c r="H11" s="24">
        <v>2.5</v>
      </c>
      <c r="I11" s="24">
        <v>2.5</v>
      </c>
      <c r="J11" s="24">
        <v>2.5</v>
      </c>
      <c r="K11" s="24"/>
      <c r="L11" s="24">
        <v>2.5</v>
      </c>
      <c r="M11" s="24">
        <v>2.5</v>
      </c>
      <c r="N11" s="24">
        <v>2.5</v>
      </c>
      <c r="O11" s="24">
        <v>2.5</v>
      </c>
      <c r="P11" s="24">
        <f t="shared" si="4"/>
        <v>105</v>
      </c>
      <c r="Q11" s="86">
        <f t="shared" si="5"/>
        <v>118.64999999999999</v>
      </c>
      <c r="R11" s="82">
        <f t="shared" si="0"/>
        <v>140</v>
      </c>
      <c r="S11" s="87">
        <f t="shared" si="6"/>
        <v>158.19999999999999</v>
      </c>
    </row>
    <row r="12" spans="1:24" x14ac:dyDescent="0.2">
      <c r="A12" s="24" t="s">
        <v>35</v>
      </c>
      <c r="B12" s="26">
        <f t="shared" si="1"/>
        <v>19.237499999999997</v>
      </c>
      <c r="C12" s="79">
        <f t="shared" si="2"/>
        <v>21.738374999999994</v>
      </c>
      <c r="D12" s="25">
        <v>25.65</v>
      </c>
      <c r="E12" s="78">
        <f t="shared" si="3"/>
        <v>28.984499999999997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>
        <f t="shared" si="4"/>
        <v>0</v>
      </c>
      <c r="Q12" s="86">
        <f t="shared" si="5"/>
        <v>0</v>
      </c>
      <c r="R12" s="82">
        <f t="shared" si="0"/>
        <v>0</v>
      </c>
      <c r="S12" s="87">
        <f t="shared" si="6"/>
        <v>0</v>
      </c>
    </row>
    <row r="13" spans="1:24" ht="17" thickBot="1" x14ac:dyDescent="0.25">
      <c r="A13" s="24" t="s">
        <v>36</v>
      </c>
      <c r="B13" s="26">
        <f t="shared" si="1"/>
        <v>2.9249999999999998</v>
      </c>
      <c r="C13" s="79">
        <f t="shared" si="2"/>
        <v>3.3052499999999996</v>
      </c>
      <c r="D13" s="25">
        <v>3.9</v>
      </c>
      <c r="E13" s="78">
        <f t="shared" si="3"/>
        <v>4.4069999999999991</v>
      </c>
      <c r="F13" s="24"/>
      <c r="G13" s="24">
        <v>10</v>
      </c>
      <c r="H13" s="24"/>
      <c r="I13" s="24"/>
      <c r="J13" s="24"/>
      <c r="K13" s="24"/>
      <c r="L13" s="24"/>
      <c r="M13" s="24"/>
      <c r="N13" s="24"/>
      <c r="O13" s="24"/>
      <c r="P13" s="31">
        <f t="shared" si="4"/>
        <v>29.25</v>
      </c>
      <c r="Q13" s="86">
        <f t="shared" si="5"/>
        <v>33.052499999999995</v>
      </c>
      <c r="R13" s="83">
        <f t="shared" si="0"/>
        <v>39</v>
      </c>
      <c r="S13" s="87">
        <f t="shared" si="6"/>
        <v>44.069999999999993</v>
      </c>
    </row>
    <row r="14" spans="1:24" ht="17" thickBot="1" x14ac:dyDescent="0.25">
      <c r="A14" s="19"/>
      <c r="B14" s="19"/>
      <c r="C14" s="73"/>
      <c r="D14" s="19"/>
      <c r="E14" s="73"/>
      <c r="F14" s="20">
        <f>($D$6*F5)+($D$7*F6)+($D$8*F7)+($D$9*F8)+($D$10*F9)+($D$11*F10)+($D$12*F11)+($D$13*F12)+($D$14*F13)</f>
        <v>7</v>
      </c>
      <c r="G14" s="20">
        <f>($D$6*G5)+($D$7*G6)+($D$8*G7)+($D$9*G8)+($D$10*G9)+($D$11*G10)+($D$12*G11)+($D$13*G12)+($D$14*G13)+$R$16</f>
        <v>104.37500132123085</v>
      </c>
      <c r="H14" s="20">
        <f>($D$6*H5)+($D$7*H6)+($D$8*H7)+($D$9*H8)+($D$10*H9)+($D$11*H10)+($D$12*H11)+($D$13*H12)+($D$14*H13)</f>
        <v>304.125</v>
      </c>
      <c r="I14" s="20">
        <f t="shared" ref="I14:O14" si="7">($D$6*I5)+($D$7*I6)+($D$8*I7)+($D$9*I8)+($D$10*I9)+($D$11*I10)+($D$12*I11)+($D$13*I12)+($D$14*I13)</f>
        <v>304.125</v>
      </c>
      <c r="J14" s="20">
        <f t="shared" si="7"/>
        <v>304.125</v>
      </c>
      <c r="K14" s="20">
        <f t="shared" si="7"/>
        <v>261</v>
      </c>
      <c r="L14" s="20">
        <f t="shared" si="7"/>
        <v>304.125</v>
      </c>
      <c r="M14" s="20">
        <f t="shared" si="7"/>
        <v>304.125</v>
      </c>
      <c r="N14" s="20">
        <f t="shared" si="7"/>
        <v>304.125</v>
      </c>
      <c r="O14" s="20">
        <f t="shared" si="7"/>
        <v>304.125</v>
      </c>
      <c r="P14" s="32">
        <f>SUM(P5:P13)</f>
        <v>502.35</v>
      </c>
      <c r="Q14" s="90">
        <f>(P14*1.13)</f>
        <v>567.65549999999996</v>
      </c>
      <c r="R14" s="84">
        <f>SUM(R5:R13)</f>
        <v>669.8</v>
      </c>
      <c r="S14" s="91">
        <f t="shared" si="6"/>
        <v>756.87399999999991</v>
      </c>
    </row>
    <row r="15" spans="1:24" x14ac:dyDescent="0.2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3"/>
      <c r="S15" s="22"/>
      <c r="T15" s="19"/>
      <c r="U15" s="19"/>
      <c r="V15" s="19"/>
      <c r="W15" s="19"/>
      <c r="X15" s="19"/>
    </row>
    <row r="16" spans="1:24" x14ac:dyDescent="0.2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92" t="s">
        <v>75</v>
      </c>
      <c r="R16" s="93">
        <f>(S14-Q14)/(756.87)</f>
        <v>0.25000132123085861</v>
      </c>
      <c r="S16" s="22"/>
      <c r="T16" s="21"/>
      <c r="U16" s="21"/>
      <c r="V16" s="21"/>
      <c r="W16" s="21"/>
      <c r="X16" s="21"/>
    </row>
    <row r="17" spans="1:19" x14ac:dyDescent="0.2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x14ac:dyDescent="0.2">
      <c r="A18" s="22"/>
      <c r="B18" s="22"/>
      <c r="C18" s="22"/>
      <c r="D18" s="22"/>
      <c r="E18" s="22"/>
      <c r="F18" s="34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34"/>
      <c r="S18" s="22"/>
    </row>
    <row r="19" spans="1:19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34"/>
      <c r="S19" s="22"/>
    </row>
    <row r="20" spans="1:19" x14ac:dyDescent="0.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34"/>
      <c r="S20" s="22"/>
    </row>
    <row r="21" spans="1:19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</sheetData>
  <mergeCells count="1">
    <mergeCell ref="A1:M1"/>
  </mergeCells>
  <pageMargins left="0.7" right="0.7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11F2E-917F-5845-A3A1-9E78AA0975F4}">
  <dimension ref="A1"/>
  <sheetViews>
    <sheetView workbookViewId="0">
      <selection activeCell="A4" sqref="A4:XFD11"/>
    </sheetView>
  </sheetViews>
  <sheetFormatPr baseColWidth="10" defaultRowHeight="15" x14ac:dyDescent="0.2"/>
  <sheetData/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AGRO3000 VENTA INTERNACIONAL</vt:lpstr>
      <vt:lpstr>PROTOCLO OCRA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M. Monge</dc:creator>
  <cp:lastModifiedBy>Microsoft Office User</cp:lastModifiedBy>
  <cp:lastPrinted>2019-10-20T08:39:22Z</cp:lastPrinted>
  <dcterms:created xsi:type="dcterms:W3CDTF">2016-12-22T15:08:49Z</dcterms:created>
  <dcterms:modified xsi:type="dcterms:W3CDTF">2020-11-16T12:39:04Z</dcterms:modified>
</cp:coreProperties>
</file>